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ropbox\Comité Après\Cafés bonnes pratique\"/>
    </mc:Choice>
  </mc:AlternateContent>
  <bookViews>
    <workbookView xWindow="0" yWindow="0" windowWidth="25320" windowHeight="14040" tabRatio="779"/>
  </bookViews>
  <sheets>
    <sheet name="Flux de trésorerie sur 12 moisB" sheetId="1" r:id="rId1"/>
    <sheet name="Résumé des flux de trésorerie" sheetId="8" r:id="rId2"/>
  </sheets>
  <definedNames>
    <definedName name="DécaissementsDébut">Décaissements[[#Totals],[Colonne2]]</definedName>
    <definedName name="EncaissementsDébut">Encaissements[[#Totals],[Colonne2]]</definedName>
    <definedName name="ÉtiquettesDonnées">OFFSET(ÉtiquettesDonnéesDébut,,TotalPointsDonnées-1,1,-TotalPointsDonnées)</definedName>
    <definedName name="ÉtiquettesDonnéesDébut">'Flux de trésorerie sur 12 moisB'!$B$7</definedName>
    <definedName name="ExerciceComptable">'Flux de trésorerie sur 12 moisB'!$P$2</definedName>
    <definedName name="_xlnm.Print_Titles" localSheetId="0">'Flux de trésorerie sur 12 moisB'!$7:$7</definedName>
    <definedName name="SituationTrésorerieDébut">'Flux de trésorerie sur 12 moisB'!$B$15</definedName>
    <definedName name="TotalPointsDonnées">'Résumé des flux de trésorerie'!$K$26</definedName>
    <definedName name="ValeursDonnéesDécaissements">OFFSET(DécaissementsDébut,,TotalPointsDonnées-1,1,-TotalPointsDonnées)</definedName>
    <definedName name="ValeursDonnéesEncaissements">OFFSET(EncaissementsDébut,,TotalPointsDonnées-1,1,-TotalPointsDonnées)</definedName>
    <definedName name="ValeursDonnéesSituationTrésorerie">OFFSET(SituationTrésorerieDébut,,TotalPointsDonnées-1,1,-TotalPointsDonnées)</definedName>
    <definedName name="_xlnm.Print_Area" localSheetId="1">'Résumé des flux de trésorerie'!$A$1:$L$25</definedName>
  </definedNames>
  <calcPr calcId="162913"/>
</workbook>
</file>

<file path=xl/calcChain.xml><?xml version="1.0" encoding="utf-8"?>
<calcChain xmlns="http://schemas.openxmlformats.org/spreadsheetml/2006/main">
  <c r="C10" i="1" l="1"/>
  <c r="B15" i="1"/>
  <c r="B14" i="1"/>
  <c r="F2" i="1" l="1"/>
  <c r="N18" i="1" l="1"/>
  <c r="M18" i="1"/>
  <c r="L18" i="1"/>
  <c r="K18" i="1"/>
  <c r="J18" i="1"/>
  <c r="H18" i="1"/>
  <c r="G18" i="1"/>
  <c r="F18" i="1"/>
  <c r="E18" i="1"/>
  <c r="D18" i="1"/>
  <c r="C18" i="1"/>
  <c r="I18" i="1"/>
  <c r="L31" i="1" l="1"/>
  <c r="F31" i="1"/>
  <c r="D30" i="1"/>
  <c r="E30" i="1"/>
  <c r="F30" i="1"/>
  <c r="G30" i="1"/>
  <c r="H30" i="1"/>
  <c r="I30" i="1"/>
  <c r="J30" i="1"/>
  <c r="K30" i="1"/>
  <c r="L30" i="1"/>
  <c r="M30" i="1"/>
  <c r="N30" i="1"/>
  <c r="C30" i="1"/>
  <c r="D25" i="1"/>
  <c r="E25" i="1"/>
  <c r="F25" i="1"/>
  <c r="G25" i="1"/>
  <c r="H25" i="1"/>
  <c r="I25" i="1"/>
  <c r="J25" i="1"/>
  <c r="K25" i="1"/>
  <c r="L25" i="1"/>
  <c r="M25" i="1"/>
  <c r="N25" i="1"/>
  <c r="C25" i="1"/>
  <c r="G28" i="1" l="1"/>
  <c r="O28" i="1" s="1"/>
  <c r="C19" i="1" l="1"/>
  <c r="C24" i="1"/>
  <c r="N19" i="1" l="1"/>
  <c r="M19" i="1"/>
  <c r="L19" i="1"/>
  <c r="K19" i="1"/>
  <c r="J19" i="1"/>
  <c r="I19" i="1"/>
  <c r="H19" i="1"/>
  <c r="G19" i="1"/>
  <c r="F19" i="1" l="1"/>
  <c r="E19" i="1"/>
  <c r="D19" i="1"/>
  <c r="I24" i="1" l="1"/>
  <c r="J24" i="1"/>
  <c r="K24" i="1"/>
  <c r="L24" i="1"/>
  <c r="M24" i="1"/>
  <c r="N24" i="1"/>
  <c r="D24" i="1"/>
  <c r="E24" i="1"/>
  <c r="F24" i="1"/>
  <c r="G24" i="1"/>
  <c r="H24" i="1"/>
  <c r="O27" i="1"/>
  <c r="C32" i="1" l="1"/>
  <c r="H32" i="1"/>
  <c r="E32" i="1"/>
  <c r="J32" i="1"/>
  <c r="D32" i="1"/>
  <c r="I32" i="1"/>
  <c r="F32" i="1"/>
  <c r="N32" i="1"/>
  <c r="L32" i="1"/>
  <c r="G32" i="1"/>
  <c r="K32" i="1"/>
  <c r="M32" i="1"/>
  <c r="O30" i="1"/>
  <c r="O32" i="1" l="1"/>
  <c r="N33" i="1"/>
  <c r="M33" i="1"/>
  <c r="L33" i="1"/>
  <c r="K33" i="1"/>
  <c r="J33" i="1"/>
  <c r="I33" i="1"/>
  <c r="H33" i="1"/>
  <c r="G33" i="1"/>
  <c r="F33" i="1"/>
  <c r="E33" i="1"/>
  <c r="D33" i="1"/>
  <c r="C33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33" i="1" l="1"/>
  <c r="O2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38" i="1" l="1"/>
  <c r="O36" i="1"/>
  <c r="O37" i="1"/>
  <c r="O39" i="1"/>
  <c r="O40" i="1"/>
  <c r="O41" i="1"/>
  <c r="O24" i="1" l="1"/>
  <c r="O25" i="1"/>
  <c r="O26" i="1"/>
  <c r="O29" i="1"/>
  <c r="O31" i="1"/>
  <c r="O18" i="1"/>
  <c r="O19" i="1"/>
  <c r="O20" i="1"/>
  <c r="C14" i="1" l="1"/>
  <c r="C15" i="1" s="1"/>
  <c r="D10" i="1" s="1"/>
  <c r="D14" i="1" s="1"/>
  <c r="D15" i="1" s="1"/>
  <c r="E10" i="1" l="1"/>
  <c r="E14" i="1" s="1"/>
  <c r="E15" i="1" s="1"/>
  <c r="F10" i="1" l="1"/>
  <c r="F14" i="1" s="1"/>
  <c r="F15" i="1" s="1"/>
  <c r="G10" i="1" l="1"/>
  <c r="G14" i="1" s="1"/>
  <c r="G15" i="1" s="1"/>
  <c r="H10" i="1" s="1"/>
  <c r="H14" i="1" s="1"/>
  <c r="H15" i="1" s="1"/>
  <c r="I10" i="1" s="1"/>
  <c r="I14" i="1" s="1"/>
  <c r="I15" i="1" s="1"/>
  <c r="J10" i="1" s="1"/>
  <c r="J14" i="1" s="1"/>
  <c r="J15" i="1" s="1"/>
  <c r="K10" i="1" s="1"/>
  <c r="K14" i="1" s="1"/>
  <c r="K15" i="1" s="1"/>
  <c r="L10" i="1" s="1"/>
  <c r="L14" i="1" s="1"/>
  <c r="L15" i="1" s="1"/>
  <c r="M10" i="1" s="1"/>
  <c r="M14" i="1" s="1"/>
  <c r="M15" i="1" s="1"/>
  <c r="N10" i="1" s="1"/>
  <c r="N14" i="1" s="1"/>
  <c r="N15" i="1" s="1"/>
  <c r="O10" i="1" l="1"/>
  <c r="O15" i="1" l="1"/>
  <c r="O14" i="1"/>
</calcChain>
</file>

<file path=xl/sharedStrings.xml><?xml version="1.0" encoding="utf-8"?>
<sst xmlns="http://schemas.openxmlformats.org/spreadsheetml/2006/main" count="37" uniqueCount="37">
  <si>
    <t>Résumé</t>
  </si>
  <si>
    <t>Encaissements</t>
  </si>
  <si>
    <t>Synthèse</t>
  </si>
  <si>
    <t>Décaissements</t>
  </si>
  <si>
    <t>Total des décaissements</t>
  </si>
  <si>
    <t>Total des encaissements</t>
  </si>
  <si>
    <t>Moyenne mensuelle</t>
  </si>
  <si>
    <t>(Faites glisser le curseur ci-dessus pour modifier le nombre total de points de données à représenter.)</t>
  </si>
  <si>
    <t>Volume de ventes (en dollars)</t>
  </si>
  <si>
    <t>Comptes clients</t>
  </si>
  <si>
    <t>Créance irrécouvrable (fin du mois)</t>
  </si>
  <si>
    <t>Stock disponible (fin du mois)</t>
  </si>
  <si>
    <t>Comptes fournisseurs (fin du mois)</t>
  </si>
  <si>
    <t>Ammortissement</t>
  </si>
  <si>
    <t>Points de données :</t>
  </si>
  <si>
    <t>Début exercice comptable :</t>
  </si>
  <si>
    <r>
      <rPr>
        <sz val="10"/>
        <color theme="1"/>
        <rFont val="Arial"/>
        <family val="2"/>
        <scheme val="major"/>
      </rPr>
      <t>Disponibilités</t>
    </r>
    <r>
      <rPr>
        <sz val="10"/>
        <color theme="1"/>
        <rFont val="Arial"/>
        <family val="2"/>
        <scheme val="minor"/>
      </rPr>
      <t xml:space="preserve">
(début du mois)</t>
    </r>
  </si>
  <si>
    <r>
      <rPr>
        <sz val="10"/>
        <color theme="1"/>
        <rFont val="Arial"/>
        <family val="2"/>
        <scheme val="major"/>
      </rPr>
      <t>Trésorerie disponible</t>
    </r>
    <r>
      <rPr>
        <sz val="10"/>
        <color theme="1"/>
        <rFont val="Arial"/>
        <family val="2"/>
        <scheme val="minor"/>
      </rPr>
      <t xml:space="preserve">
(disponibilités + encaissements, avant décaissements) </t>
    </r>
  </si>
  <si>
    <r>
      <rPr>
        <sz val="10"/>
        <color theme="1"/>
        <rFont val="Arial"/>
        <family val="2"/>
        <scheme val="major"/>
      </rPr>
      <t>Situation de trésorerie</t>
    </r>
    <r>
      <rPr>
        <sz val="10"/>
        <color theme="1"/>
        <rFont val="Arial"/>
        <family val="2"/>
        <scheme val="minor"/>
      </rPr>
      <t xml:space="preserve">
(fin du mois)</t>
    </r>
  </si>
  <si>
    <t>Données d’exploitation essentielles (informations non liées aux flux de trésorerie)</t>
  </si>
  <si>
    <t>Début</t>
  </si>
  <si>
    <t>Plan de liquidités</t>
  </si>
  <si>
    <t>Caisse</t>
  </si>
  <si>
    <t>Autres charges</t>
  </si>
  <si>
    <t>Achats</t>
  </si>
  <si>
    <t>TVA</t>
  </si>
  <si>
    <t>Charges locaux</t>
  </si>
  <si>
    <t>AVS/AI/APG</t>
  </si>
  <si>
    <t>LPP</t>
  </si>
  <si>
    <t>Salaires nets</t>
  </si>
  <si>
    <t>LAA/SUVA</t>
  </si>
  <si>
    <t>Intérêts et amortissements prêts hypothécaires</t>
  </si>
  <si>
    <t>Etat au:</t>
  </si>
  <si>
    <t>Chiffre d'affaires</t>
  </si>
  <si>
    <t>Contrats de prestations Collectivités publiques</t>
  </si>
  <si>
    <t>Banque XXX</t>
  </si>
  <si>
    <t>Postfinance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</si>
</sst>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#,##0_);[Red]\(#,##0\);"/>
    <numFmt numFmtId="166" formatCode="[$-40C]d\ mmmm\ yyyy;@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22"/>
      <color theme="1" tint="0.24994659260841701"/>
      <name val="Arial"/>
      <family val="2"/>
      <scheme val="major"/>
    </font>
    <font>
      <b/>
      <sz val="12"/>
      <color theme="1" tint="0.24994659260841701"/>
      <name val="Arial"/>
      <family val="2"/>
      <scheme val="minor"/>
    </font>
    <font>
      <b/>
      <sz val="13"/>
      <color theme="1" tint="0.499984740745262"/>
      <name val="Arial"/>
      <family val="2"/>
      <scheme val="minor"/>
    </font>
    <font>
      <sz val="8"/>
      <color theme="0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9"/>
      <color theme="0"/>
      <name val="Arial"/>
      <family val="2"/>
      <scheme val="major"/>
    </font>
    <font>
      <b/>
      <sz val="23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b/>
      <sz val="15"/>
      <color theme="3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theme="1"/>
      <name val="Arial"/>
      <family val="2"/>
      <scheme val="major"/>
    </font>
    <font>
      <sz val="10"/>
      <color theme="1"/>
      <name val="Arial"/>
      <family val="2"/>
      <scheme val="minor"/>
    </font>
    <font>
      <sz val="10"/>
      <color theme="1" tint="0.2499465926084170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5" fillId="0" borderId="1" applyNumberFormat="0" applyFill="0" applyAlignment="0" applyProtection="0"/>
    <xf numFmtId="0" fontId="6" fillId="0" borderId="0" applyNumberFormat="0" applyProtection="0">
      <alignment horizontal="right"/>
    </xf>
    <xf numFmtId="0" fontId="6" fillId="0" borderId="0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Alignment="0" applyProtection="0"/>
  </cellStyleXfs>
  <cellXfs count="53">
    <xf numFmtId="0" fontId="0" fillId="0" borderId="0" xfId="0"/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0" fillId="4" borderId="0" xfId="0" applyFill="1"/>
    <xf numFmtId="0" fontId="0" fillId="4" borderId="0" xfId="0" applyFill="1" applyAlignment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4" fillId="0" borderId="0" xfId="4" applyFill="1" applyBorder="1" applyAlignment="1">
      <alignment horizontal="left" vertical="center"/>
    </xf>
    <xf numFmtId="0" fontId="4" fillId="0" borderId="0" xfId="4" applyFill="1" applyBorder="1"/>
    <xf numFmtId="0" fontId="4" fillId="0" borderId="0" xfId="4" applyFill="1" applyBorder="1" applyAlignment="1">
      <alignment horizontal="right"/>
    </xf>
    <xf numFmtId="17" fontId="4" fillId="0" borderId="0" xfId="4" applyNumberFormat="1" applyFill="1" applyBorder="1" applyAlignment="1">
      <alignment horizontal="center"/>
    </xf>
    <xf numFmtId="0" fontId="5" fillId="0" borderId="0" xfId="1" applyFill="1" applyBorder="1" applyAlignment="1"/>
    <xf numFmtId="0" fontId="3" fillId="0" borderId="0" xfId="4" applyFont="1" applyFill="1" applyBorder="1" applyAlignment="1">
      <alignment vertical="center"/>
    </xf>
    <xf numFmtId="0" fontId="6" fillId="0" borderId="0" xfId="3" applyBorder="1"/>
    <xf numFmtId="0" fontId="6" fillId="0" borderId="0" xfId="3" applyBorder="1" applyAlignment="1"/>
    <xf numFmtId="0" fontId="8" fillId="0" borderId="0" xfId="0" applyFont="1" applyFill="1" applyBorder="1"/>
    <xf numFmtId="3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8" fillId="5" borderId="0" xfId="2" applyFont="1" applyFill="1" applyBorder="1" applyAlignment="1">
      <alignment horizontal="right" vertical="center"/>
    </xf>
    <xf numFmtId="0" fontId="1" fillId="4" borderId="0" xfId="0" applyFont="1" applyFill="1" applyAlignment="1"/>
    <xf numFmtId="0" fontId="2" fillId="5" borderId="0" xfId="0" applyFont="1" applyFill="1" applyBorder="1"/>
    <xf numFmtId="0" fontId="7" fillId="0" borderId="0" xfId="3" applyFont="1" applyFill="1" applyBorder="1" applyAlignment="1">
      <alignment vertical="center"/>
    </xf>
    <xf numFmtId="49" fontId="7" fillId="0" borderId="0" xfId="3" applyNumberFormat="1" applyFont="1" applyFill="1" applyBorder="1" applyAlignment="1">
      <alignment horizontal="right" vertical="center"/>
    </xf>
    <xf numFmtId="0" fontId="11" fillId="5" borderId="0" xfId="2" applyFont="1" applyFill="1" applyBorder="1" applyAlignment="1">
      <alignment horizontal="right" vertical="center"/>
    </xf>
    <xf numFmtId="17" fontId="11" fillId="5" borderId="0" xfId="2" applyNumberFormat="1" applyFont="1" applyFill="1" applyBorder="1" applyAlignment="1">
      <alignment horizontal="right" vertical="center"/>
    </xf>
    <xf numFmtId="164" fontId="11" fillId="5" borderId="0" xfId="2" applyNumberFormat="1" applyFont="1" applyFill="1" applyBorder="1" applyAlignment="1">
      <alignment horizontal="right" vertical="center" wrapText="1"/>
    </xf>
    <xf numFmtId="164" fontId="11" fillId="5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9" fillId="0" borderId="0" xfId="4" applyFont="1" applyFill="1" applyBorder="1" applyAlignment="1">
      <alignment horizontal="left" vertical="center" indent="1"/>
    </xf>
    <xf numFmtId="0" fontId="1" fillId="0" borderId="0" xfId="4" applyFont="1" applyFill="1" applyBorder="1" applyAlignment="1">
      <alignment horizontal="left" vertical="center" indent="1"/>
    </xf>
    <xf numFmtId="0" fontId="6" fillId="0" borderId="0" xfId="3" applyBorder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3" applyFont="1" applyBorder="1" applyAlignment="1"/>
    <xf numFmtId="165" fontId="0" fillId="0" borderId="0" xfId="0" applyNumberFormat="1" applyFont="1" applyFill="1" applyBorder="1" applyAlignment="1">
      <alignment vertical="center"/>
    </xf>
    <xf numFmtId="0" fontId="15" fillId="4" borderId="0" xfId="0" applyFont="1" applyFill="1" applyAlignment="1">
      <alignment horizontal="left" indent="1"/>
    </xf>
    <xf numFmtId="0" fontId="6" fillId="0" borderId="0" xfId="3" applyAlignment="1">
      <alignment horizontal="left" indent="2"/>
    </xf>
    <xf numFmtId="0" fontId="0" fillId="0" borderId="0" xfId="4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wrapText="1" indent="2"/>
    </xf>
    <xf numFmtId="166" fontId="7" fillId="0" borderId="0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 indent="2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left" vertical="center" wrapText="1" indent="2"/>
    </xf>
    <xf numFmtId="165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0" fontId="17" fillId="0" borderId="0" xfId="0" applyFont="1" applyFill="1" applyBorder="1" applyAlignment="1">
      <alignment horizontal="left" vertical="center" wrapText="1" indent="2"/>
    </xf>
    <xf numFmtId="165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/>
    <xf numFmtId="14" fontId="18" fillId="0" borderId="0" xfId="1" applyNumberFormat="1" applyFont="1" applyFill="1" applyBorder="1" applyAlignment="1"/>
    <xf numFmtId="0" fontId="18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 indent="2"/>
    </xf>
    <xf numFmtId="0" fontId="16" fillId="0" borderId="0" xfId="3" applyFont="1" applyBorder="1" applyAlignment="1">
      <alignment horizontal="left" indent="2"/>
    </xf>
  </cellXfs>
  <cellStyles count="7">
    <cellStyle name="60 % - Accent1" xfId="4" builtinId="32" customBuiltin="1"/>
    <cellStyle name="60 % - Accent5" xfId="5" builtinId="48" customBuiltin="1"/>
    <cellStyle name="Normal" xfId="0" builtinId="0" customBuiltin="1"/>
    <cellStyle name="Titre" xfId="1" builtinId="15" customBuiltin="1"/>
    <cellStyle name="Titre 1" xfId="6" builtinId="16" customBuiltin="1"/>
    <cellStyle name="Titre 2" xfId="2" builtinId="17" customBuiltin="1"/>
    <cellStyle name="Titre 3" xfId="3" builtinId="18" customBuiltin="1"/>
  </cellStyles>
  <dxfs count="1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22"/>
        </right>
        <top/>
        <bottom style="thin">
          <color indexed="22"/>
        </bottom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_);[Red]\(#,##0\);"/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10"/>
        <color theme="1"/>
        <name val="Arial"/>
      </font>
      <alignment horizontal="left" vertical="bottom" textRotation="0" relative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 tint="0.24994659260841701"/>
      </font>
      <border>
        <top style="thin">
          <color theme="4"/>
        </top>
        <bottom style="thin">
          <color theme="4"/>
        </bottom>
      </border>
    </dxf>
    <dxf>
      <fill>
        <patternFill>
          <bgColor theme="5" tint="0.8999603259376811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border>
        <bottom style="thin">
          <color theme="3" tint="0.39994506668294322"/>
        </bottom>
      </border>
    </dxf>
  </dxfs>
  <tableStyles count="2" defaultTableStyle="Style Budget de petite entreprise 1" defaultPivotStyle="PivotStyleLight16">
    <tableStyle name="Style Budget de petite entreprise 1" pivot="0" count="4">
      <tableStyleElement type="wholeTable" dxfId="177"/>
      <tableStyleElement type="headerRow" dxfId="176"/>
      <tableStyleElement type="totalRow" dxfId="175"/>
      <tableStyleElement type="firstRowStripe" dxfId="174"/>
    </tableStyle>
    <tableStyle name="Style Budget de petite entreprise 2" pivot="0" count="7">
      <tableStyleElement type="wholeTable" dxfId="173"/>
      <tableStyleElement type="headerRow" dxfId="172"/>
      <tableStyleElement type="totalRow" dxfId="171"/>
      <tableStyleElement type="firstColumn" dxfId="170"/>
      <tableStyleElement type="lastColumn" dxfId="169"/>
      <tableStyleElement type="firstRowStripe" dxfId="168"/>
      <tableStyleElement type="firstColumnStripe" dxfId="1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FR"/>
              <a:t>Résumé des flux de trésorerie</a:t>
            </a:r>
          </a:p>
        </c:rich>
      </c:tx>
      <c:layout>
        <c:manualLayout>
          <c:xMode val="edge"/>
          <c:yMode val="edge"/>
          <c:x val="0.26489032858359624"/>
          <c:y val="2.6629936924268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034329393283646"/>
          <c:y val="0.18499132052937828"/>
          <c:w val="0.79931341213432705"/>
          <c:h val="0.62885361552028218"/>
        </c:manualLayout>
      </c:layout>
      <c:areaChart>
        <c:grouping val="standard"/>
        <c:varyColors val="0"/>
        <c:ser>
          <c:idx val="2"/>
          <c:order val="2"/>
          <c:tx>
            <c:v>Situation de trésorerie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[0]!ÉtiquettesDonnées</c:f>
              <c:strCache>
                <c:ptCount val="12"/>
                <c:pt idx="0">
                  <c:v>Début</c:v>
                </c:pt>
                <c:pt idx="1">
                  <c:v>janv.18</c:v>
                </c:pt>
                <c:pt idx="2">
                  <c:v>févr.18</c:v>
                </c:pt>
                <c:pt idx="3">
                  <c:v>mars.18</c:v>
                </c:pt>
                <c:pt idx="4">
                  <c:v>avr.18</c:v>
                </c:pt>
                <c:pt idx="5">
                  <c:v>mai.18</c:v>
                </c:pt>
                <c:pt idx="6">
                  <c:v>juin.18</c:v>
                </c:pt>
                <c:pt idx="7">
                  <c:v>juil.18</c:v>
                </c:pt>
                <c:pt idx="8">
                  <c:v>août.18</c:v>
                </c:pt>
                <c:pt idx="9">
                  <c:v>sept.18</c:v>
                </c:pt>
                <c:pt idx="10">
                  <c:v>oct.18</c:v>
                </c:pt>
                <c:pt idx="11">
                  <c:v>nov.18</c:v>
                </c:pt>
              </c:strCache>
            </c:strRef>
          </c:cat>
          <c:val>
            <c:numRef>
              <c:f>[0]!ValeursDonnéesSituationTrésorerie</c:f>
              <c:numCache>
                <c:formatCode>#,##0_);[Red]\(#,##0\);</c:formatCode>
                <c:ptCount val="12"/>
                <c:pt idx="0">
                  <c:v>0</c:v>
                </c:pt>
                <c:pt idx="1">
                  <c:v>652650</c:v>
                </c:pt>
                <c:pt idx="2">
                  <c:v>377300</c:v>
                </c:pt>
                <c:pt idx="3">
                  <c:v>395950</c:v>
                </c:pt>
                <c:pt idx="4">
                  <c:v>252600</c:v>
                </c:pt>
                <c:pt idx="5">
                  <c:v>-262750</c:v>
                </c:pt>
                <c:pt idx="6">
                  <c:v>1584450</c:v>
                </c:pt>
                <c:pt idx="7">
                  <c:v>1483100</c:v>
                </c:pt>
                <c:pt idx="8">
                  <c:v>1147750</c:v>
                </c:pt>
                <c:pt idx="9">
                  <c:v>1481350</c:v>
                </c:pt>
                <c:pt idx="10">
                  <c:v>1323000</c:v>
                </c:pt>
                <c:pt idx="11">
                  <c:v>1152650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7-4118-932C-E6C08D244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577632"/>
        <c:axId val="278577072"/>
      </c:areaChart>
      <c:lineChart>
        <c:grouping val="standard"/>
        <c:varyColors val="0"/>
        <c:ser>
          <c:idx val="1"/>
          <c:order val="0"/>
          <c:tx>
            <c:v>Encaissements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[0]!ÉtiquettesDonnées</c:f>
              <c:strCache>
                <c:ptCount val="12"/>
                <c:pt idx="0">
                  <c:v>Début</c:v>
                </c:pt>
                <c:pt idx="1">
                  <c:v>janv.18</c:v>
                </c:pt>
                <c:pt idx="2">
                  <c:v>févr.18</c:v>
                </c:pt>
                <c:pt idx="3">
                  <c:v>mars.18</c:v>
                </c:pt>
                <c:pt idx="4">
                  <c:v>avr.18</c:v>
                </c:pt>
                <c:pt idx="5">
                  <c:v>mai.18</c:v>
                </c:pt>
                <c:pt idx="6">
                  <c:v>juin.18</c:v>
                </c:pt>
                <c:pt idx="7">
                  <c:v>juil.18</c:v>
                </c:pt>
                <c:pt idx="8">
                  <c:v>août.18</c:v>
                </c:pt>
                <c:pt idx="9">
                  <c:v>sept.18</c:v>
                </c:pt>
                <c:pt idx="10">
                  <c:v>oct.18</c:v>
                </c:pt>
                <c:pt idx="11">
                  <c:v>nov.18</c:v>
                </c:pt>
              </c:strCache>
            </c:strRef>
          </c:cat>
          <c:val>
            <c:numRef>
              <c:f>[0]!ValeursDonnéesEncaissements</c:f>
              <c:numCache>
                <c:formatCode>#,##0_);[Red]\(#,##0\);</c:formatCode>
                <c:ptCount val="12"/>
                <c:pt idx="0">
                  <c:v>0</c:v>
                </c:pt>
                <c:pt idx="1">
                  <c:v>445300</c:v>
                </c:pt>
                <c:pt idx="2">
                  <c:v>520300</c:v>
                </c:pt>
                <c:pt idx="3">
                  <c:v>590300</c:v>
                </c:pt>
                <c:pt idx="4">
                  <c:v>480300</c:v>
                </c:pt>
                <c:pt idx="5">
                  <c:v>395300</c:v>
                </c:pt>
                <c:pt idx="6">
                  <c:v>2418850</c:v>
                </c:pt>
                <c:pt idx="7">
                  <c:v>470300</c:v>
                </c:pt>
                <c:pt idx="8">
                  <c:v>460300</c:v>
                </c:pt>
                <c:pt idx="9">
                  <c:v>905250</c:v>
                </c:pt>
                <c:pt idx="10">
                  <c:v>465300</c:v>
                </c:pt>
                <c:pt idx="11">
                  <c:v>475300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7-4118-932C-E6C08D244FAC}"/>
            </c:ext>
          </c:extLst>
        </c:ser>
        <c:ser>
          <c:idx val="0"/>
          <c:order val="1"/>
          <c:tx>
            <c:v>Décaissements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[0]!ÉtiquettesDonnées</c:f>
              <c:strCache>
                <c:ptCount val="12"/>
                <c:pt idx="0">
                  <c:v>Début</c:v>
                </c:pt>
                <c:pt idx="1">
                  <c:v>janv.18</c:v>
                </c:pt>
                <c:pt idx="2">
                  <c:v>févr.18</c:v>
                </c:pt>
                <c:pt idx="3">
                  <c:v>mars.18</c:v>
                </c:pt>
                <c:pt idx="4">
                  <c:v>avr.18</c:v>
                </c:pt>
                <c:pt idx="5">
                  <c:v>mai.18</c:v>
                </c:pt>
                <c:pt idx="6">
                  <c:v>juin.18</c:v>
                </c:pt>
                <c:pt idx="7">
                  <c:v>juil.18</c:v>
                </c:pt>
                <c:pt idx="8">
                  <c:v>août.18</c:v>
                </c:pt>
                <c:pt idx="9">
                  <c:v>sept.18</c:v>
                </c:pt>
                <c:pt idx="10">
                  <c:v>oct.18</c:v>
                </c:pt>
                <c:pt idx="11">
                  <c:v>nov.18</c:v>
                </c:pt>
              </c:strCache>
            </c:strRef>
          </c:cat>
          <c:val>
            <c:numRef>
              <c:f>[0]!ValeursDonnéesDécaissements</c:f>
              <c:numCache>
                <c:formatCode>#,##0_);[Red]\(#,##0\);</c:formatCode>
                <c:ptCount val="12"/>
                <c:pt idx="1">
                  <c:v>571650</c:v>
                </c:pt>
                <c:pt idx="2">
                  <c:v>795650</c:v>
                </c:pt>
                <c:pt idx="3">
                  <c:v>571650</c:v>
                </c:pt>
                <c:pt idx="4">
                  <c:v>623650</c:v>
                </c:pt>
                <c:pt idx="5">
                  <c:v>910650</c:v>
                </c:pt>
                <c:pt idx="6">
                  <c:v>571650</c:v>
                </c:pt>
                <c:pt idx="7">
                  <c:v>571650</c:v>
                </c:pt>
                <c:pt idx="8">
                  <c:v>795650</c:v>
                </c:pt>
                <c:pt idx="9">
                  <c:v>571650</c:v>
                </c:pt>
                <c:pt idx="10">
                  <c:v>623650</c:v>
                </c:pt>
                <c:pt idx="11">
                  <c:v>645650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77-4118-932C-E6C08D244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95504"/>
        <c:axId val="278096064"/>
      </c:lineChart>
      <c:catAx>
        <c:axId val="27809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8096064"/>
        <c:crosses val="autoZero"/>
        <c:auto val="1"/>
        <c:lblAlgn val="ctr"/>
        <c:lblOffset val="100"/>
        <c:noMultiLvlLbl val="1"/>
      </c:catAx>
      <c:valAx>
        <c:axId val="27809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_);[Red]\(#,##0\)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8095504"/>
        <c:crosses val="autoZero"/>
        <c:crossBetween val="between"/>
      </c:valAx>
      <c:valAx>
        <c:axId val="278577072"/>
        <c:scaling>
          <c:orientation val="minMax"/>
        </c:scaling>
        <c:delete val="0"/>
        <c:axPos val="r"/>
        <c:numFmt formatCode="#,##0_);[Red]\(#,##0\)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8577632"/>
        <c:crosses val="max"/>
        <c:crossBetween val="between"/>
      </c:valAx>
      <c:catAx>
        <c:axId val="27857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577072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35" header="0.17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Scroll" dx="16" fmlaLink="'Résumé des flux de trésorerie'!$K$26" horiz="1" max="13" min="2" page="10" val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R&#233;sum&#233; des flux de tr&#233;soreri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Flux de tr&#233;sorerie sur 12 mois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142192</xdr:colOff>
      <xdr:row>2</xdr:row>
      <xdr:rowOff>86517</xdr:rowOff>
    </xdr:from>
    <xdr:to>
      <xdr:col>15</xdr:col>
      <xdr:colOff>1554791</xdr:colOff>
      <xdr:row>3</xdr:row>
      <xdr:rowOff>192245</xdr:rowOff>
    </xdr:to>
    <xdr:sp macro="" textlink="">
      <xdr:nvSpPr>
        <xdr:cNvPr id="2" name="Rectangle 1">
          <a:hlinkClick xmlns:r="http://schemas.openxmlformats.org/officeDocument/2006/relationships" r:id="rId1" tooltip="Cliquez pour afficher le résumé des flux de trésorerie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03223" y="824705"/>
          <a:ext cx="2293662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altLang="zh-CN" sz="1150">
              <a:solidFill>
                <a:schemeClr val="lt1"/>
              </a:solidFill>
              <a:latin typeface="+mn-lt"/>
              <a:ea typeface="+mn-ea"/>
              <a:cs typeface="+mn-cs"/>
            </a:rPr>
            <a:t>Résumé</a:t>
          </a:r>
          <a:r>
            <a:rPr lang="zh-CN" altLang="fr-FR" sz="115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fr-FR" altLang="zh-CN" sz="1150">
              <a:solidFill>
                <a:schemeClr val="lt1"/>
              </a:solidFill>
              <a:latin typeface="+mn-lt"/>
              <a:ea typeface="+mn-ea"/>
              <a:cs typeface="+mn-cs"/>
            </a:rPr>
            <a:t>des flux de trésorerie</a:t>
          </a:r>
          <a:endParaRPr lang="en-US" sz="115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25</xdr:row>
          <xdr:rowOff>69850</xdr:rowOff>
        </xdr:from>
        <xdr:to>
          <xdr:col>8</xdr:col>
          <xdr:colOff>393700</xdr:colOff>
          <xdr:row>26</xdr:row>
          <xdr:rowOff>19050</xdr:rowOff>
        </xdr:to>
        <xdr:sp macro="" textlink="">
          <xdr:nvSpPr>
            <xdr:cNvPr id="6145" name="Barre de défilement 1" descr="Faites glisser le curseur pour modifier les points de données à représenter sur le graphique Résumé des flux de trésorerie, ou entrez la valeur souhaitée dans la cellule K27.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absolute">
    <xdr:from>
      <xdr:col>1</xdr:col>
      <xdr:colOff>19048</xdr:colOff>
      <xdr:row>1</xdr:row>
      <xdr:rowOff>38098</xdr:rowOff>
    </xdr:from>
    <xdr:to>
      <xdr:col>13</xdr:col>
      <xdr:colOff>470776</xdr:colOff>
      <xdr:row>32</xdr:row>
      <xdr:rowOff>65689</xdr:rowOff>
    </xdr:to>
    <xdr:graphicFrame macro="">
      <xdr:nvGraphicFramePr>
        <xdr:cNvPr id="3" name="RésuméFluxDeTrésorerie" descr="Graphique en courbes indiquant les encaissements, les décaissements et la situation de trésorerie. Vous pouvez modifier le nombre total de points de données à représenter sur le graphique à l’aide du curseur ou de la cellule K27." title="Graphique Résumé des flux de trésoreri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181411</xdr:colOff>
      <xdr:row>0</xdr:row>
      <xdr:rowOff>123824</xdr:rowOff>
    </xdr:from>
    <xdr:to>
      <xdr:col>18</xdr:col>
      <xdr:colOff>186120</xdr:colOff>
      <xdr:row>2</xdr:row>
      <xdr:rowOff>115416</xdr:rowOff>
    </xdr:to>
    <xdr:sp macro="" textlink="">
      <xdr:nvSpPr>
        <xdr:cNvPr id="4" name="Rectangle 3">
          <a:hlinkClick xmlns:r="http://schemas.openxmlformats.org/officeDocument/2006/relationships" r:id="rId2" tooltip="Cliquez pour afficher les flux de trésorerie sur douze mois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469256" y="123824"/>
          <a:ext cx="2457123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r-FR" altLang="zh-CN" sz="1150">
              <a:solidFill>
                <a:schemeClr val="lt1"/>
              </a:solidFill>
              <a:latin typeface="+mn-lt"/>
              <a:ea typeface="+mn-ea"/>
              <a:cs typeface="+mn-cs"/>
            </a:rPr>
            <a:t>Flux de trésorerie sur douze mois</a:t>
          </a:r>
          <a:endParaRPr lang="en-US" sz="115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ynthèse" displayName="Synthèse" ref="A10:P15" headerRowCount="0" totalsRowShown="0">
  <tableColumns count="16">
    <tableColumn id="1" name="Colonne1" headerRowDxfId="166" dataDxfId="165"/>
    <tableColumn id="2" name="Colonne2" headerRowDxfId="164" dataDxfId="163"/>
    <tableColumn id="3" name="Colonne3" headerRowDxfId="162" dataDxfId="161"/>
    <tableColumn id="4" name="Colonne4" headerRowDxfId="160" dataDxfId="159"/>
    <tableColumn id="5" name="Colonne5" headerRowDxfId="158" dataDxfId="157"/>
    <tableColumn id="6" name="Colonne6" headerRowDxfId="156" dataDxfId="155"/>
    <tableColumn id="7" name="Colonne7" headerRowDxfId="154" dataDxfId="153"/>
    <tableColumn id="8" name="Colonne8" headerRowDxfId="152" dataDxfId="151"/>
    <tableColumn id="9" name="Colonne9" headerRowDxfId="150" dataDxfId="149"/>
    <tableColumn id="10" name="Colonne10" headerRowDxfId="148" dataDxfId="147"/>
    <tableColumn id="11" name="Colonne11" headerRowDxfId="146" dataDxfId="145"/>
    <tableColumn id="12" name="Colonne12" headerRowDxfId="144" dataDxfId="143"/>
    <tableColumn id="13" name="Colonne13" headerRowDxfId="142" dataDxfId="141"/>
    <tableColumn id="14" name="Colonne14" headerRowDxfId="140" dataDxfId="139"/>
    <tableColumn id="15" name="Colonne15" headerRowDxfId="138" dataDxfId="137">
      <calculatedColumnFormula>IFERROR(AVERAGE(Synthèse[[#This Row],[Colonne3]:[Colonne14]]),"")</calculatedColumnFormula>
    </tableColumn>
    <tableColumn id="16" name="Colonne16" headerRowDxfId="136"/>
  </tableColumns>
  <tableStyleInfo name="Style Budget de petite entreprise 1" showFirstColumn="0" showLastColumn="0" showRowStripes="1" showColumnStripes="0"/>
  <extLst>
    <ext xmlns:x14="http://schemas.microsoft.com/office/spreadsheetml/2009/9/main" uri="{504A1905-F514-4f6f-8877-14C23A59335A}">
      <x14:table altText="Tableau Synthèse de la trésorerie" altTextSummary="Indique les espèces en caisse, les espèces disponibles et la situation de trésorerie pour 12 mois avec une moyenne mensuelle."/>
    </ext>
  </extLst>
</table>
</file>

<file path=xl/tables/table2.xml><?xml version="1.0" encoding="utf-8"?>
<table xmlns="http://schemas.openxmlformats.org/spreadsheetml/2006/main" id="3" name="Encaissements" displayName="Encaissements" ref="A18:P21" headerRowCount="0" totalsRowCount="1" headerRowDxfId="135" dataDxfId="134" totalsRowDxfId="133">
  <tableColumns count="16">
    <tableColumn id="1" name="Colonne1" totalsRowLabel="Total des encaissements" headerRowDxfId="132" dataDxfId="131" totalsRowDxfId="15"/>
    <tableColumn id="2" name="Colonne2" totalsRowFunction="sum" headerRowDxfId="130" dataDxfId="129" totalsRowDxfId="14"/>
    <tableColumn id="3" name="Colonne3" totalsRowFunction="sum" headerRowDxfId="128" dataDxfId="127" totalsRowDxfId="13">
      <calculatedColumnFormula>4137483/2/6</calculatedColumnFormula>
    </tableColumn>
    <tableColumn id="4" name="Colonne4" totalsRowFunction="sum" headerRowDxfId="126" dataDxfId="125" totalsRowDxfId="12"/>
    <tableColumn id="5" name="Colonne5" totalsRowFunction="sum" headerRowDxfId="124" dataDxfId="123" totalsRowDxfId="11"/>
    <tableColumn id="6" name="Colonne6" totalsRowFunction="sum" headerRowDxfId="122" dataDxfId="121" totalsRowDxfId="10"/>
    <tableColumn id="7" name="Colonne7" totalsRowFunction="sum" headerRowDxfId="120" dataDxfId="119" totalsRowDxfId="9"/>
    <tableColumn id="8" name="Colonne8" totalsRowFunction="sum" headerRowDxfId="118" dataDxfId="117" totalsRowDxfId="8"/>
    <tableColumn id="9" name="Colonne9" totalsRowFunction="sum" headerRowDxfId="116" dataDxfId="115" totalsRowDxfId="7"/>
    <tableColumn id="10" name="Colonne10" totalsRowFunction="sum" headerRowDxfId="114" dataDxfId="113" totalsRowDxfId="6"/>
    <tableColumn id="11" name="Colonne11" totalsRowFunction="sum" headerRowDxfId="112" dataDxfId="111" totalsRowDxfId="5"/>
    <tableColumn id="12" name="Colonne12" totalsRowFunction="sum" headerRowDxfId="110" dataDxfId="109" totalsRowDxfId="4"/>
    <tableColumn id="13" name="Colonne13" totalsRowFunction="sum" headerRowDxfId="108" dataDxfId="107" totalsRowDxfId="3"/>
    <tableColumn id="14" name="Colonne14" totalsRowFunction="sum" headerRowDxfId="106" dataDxfId="105" totalsRowDxfId="2"/>
    <tableColumn id="15" name="Colonne15" totalsRowFunction="custom" headerRowDxfId="104" dataDxfId="103" totalsRowDxfId="1">
      <calculatedColumnFormula>IFERROR(AVERAGE(Encaissements[[#This Row],[Colonne3]:[Colonne14]]),"")</calculatedColumnFormula>
      <totalsRowFormula>IFERROR(AVERAGE(Encaissements[[#Totals],[Colonne3]:[Colonne14]]),"")</totalsRowFormula>
    </tableColumn>
    <tableColumn id="16" name="Colonne16" headerRowDxfId="102" dataDxfId="101" totalsRowDxfId="0"/>
  </tableColumns>
  <tableStyleInfo name="Style Budget de petite entreprise 1" showFirstColumn="0" showLastColumn="0" showRowStripes="1" showColumnStripes="0"/>
  <extLst>
    <ext xmlns:x14="http://schemas.microsoft.com/office/spreadsheetml/2009/9/main" uri="{504A1905-F514-4f6f-8877-14C23A59335A}">
      <x14:table altText="Tableau Rentrées de caisse" altTextSummary="Fournit des bilans pour les ventes au comptant, les encaissements provenant des comptes RC, les prêts/autres espèces et le total des rentrées de caisse pour 12 mois avec une moyenne mensuelle."/>
    </ext>
  </extLst>
</table>
</file>

<file path=xl/tables/table3.xml><?xml version="1.0" encoding="utf-8"?>
<table xmlns="http://schemas.openxmlformats.org/spreadsheetml/2006/main" id="4" name="Décaissements" displayName="Décaissements" ref="A24:P33" headerRowCount="0" totalsRowCount="1" headerRowDxfId="100" dataDxfId="99" totalsRowDxfId="98">
  <tableColumns count="16">
    <tableColumn id="1" name="Colonne1" totalsRowLabel="Total des décaissements" headerRowDxfId="97" dataDxfId="96" totalsRowDxfId="95"/>
    <tableColumn id="2" name="Colonne2" headerRowDxfId="94" dataDxfId="93" totalsRowDxfId="92"/>
    <tableColumn id="3" name="Colonne3" totalsRowFunction="sum" headerRowDxfId="91" dataDxfId="90" totalsRowDxfId="89"/>
    <tableColumn id="4" name="Colonne4" totalsRowFunction="sum" headerRowDxfId="88" dataDxfId="87" totalsRowDxfId="86"/>
    <tableColumn id="5" name="Colonne5" totalsRowFunction="sum" headerRowDxfId="85" dataDxfId="84" totalsRowDxfId="83"/>
    <tableColumn id="6" name="Colonne6" totalsRowFunction="sum" headerRowDxfId="82" dataDxfId="81" totalsRowDxfId="80"/>
    <tableColumn id="7" name="Colonne7" totalsRowFunction="sum" headerRowDxfId="79" dataDxfId="78" totalsRowDxfId="77"/>
    <tableColumn id="8" name="Colonne8" totalsRowFunction="sum" headerRowDxfId="76" dataDxfId="75" totalsRowDxfId="74"/>
    <tableColumn id="9" name="Colonne9" totalsRowFunction="sum" headerRowDxfId="73" dataDxfId="72" totalsRowDxfId="71"/>
    <tableColumn id="10" name="Colonne10" totalsRowFunction="sum" headerRowDxfId="70" dataDxfId="69" totalsRowDxfId="68"/>
    <tableColumn id="11" name="Colonne11" totalsRowFunction="sum" headerRowDxfId="67" dataDxfId="66" totalsRowDxfId="65"/>
    <tableColumn id="12" name="Colonne12" totalsRowFunction="sum" headerRowDxfId="64" dataDxfId="63" totalsRowDxfId="62"/>
    <tableColumn id="13" name="Colonne13" totalsRowFunction="sum" headerRowDxfId="61" dataDxfId="60" totalsRowDxfId="59"/>
    <tableColumn id="14" name="Colonne14" totalsRowFunction="sum" headerRowDxfId="58" dataDxfId="57" totalsRowDxfId="56"/>
    <tableColumn id="15" name="Colonne15" totalsRowFunction="custom" headerRowDxfId="55" dataDxfId="54" totalsRowDxfId="53">
      <calculatedColumnFormula>IFERROR(AVERAGE(Décaissements[[#This Row],[Colonne3]:[Colonne14]]),"")</calculatedColumnFormula>
      <totalsRowFormula>IFERROR(AVERAGE(Décaissements[[#Totals],[Colonne3]:[Colonne14]]),"")</totalsRowFormula>
    </tableColumn>
    <tableColumn id="16" name="Colonne16" headerRowDxfId="52" dataDxfId="51" totalsRowDxfId="50"/>
  </tableColumns>
  <tableStyleInfo name="Style Budget de petite entreprise 1" showFirstColumn="0" showLastColumn="0" showRowStripes="1" showColumnStripes="0"/>
  <extLst>
    <ext xmlns:x14="http://schemas.microsoft.com/office/spreadsheetml/2009/9/main" uri="{504A1905-F514-4f6f-8877-14C23A59335A}">
      <x14:table altText="Tableau Montants versés" altTextSummary="Fournit un exercice comptable de 12 mois pour les montants versés (achats, salaires bruts, équipements, loyer, charges, etc.) avec une moyenne mensuelle."/>
    </ext>
  </extLst>
</table>
</file>

<file path=xl/tables/table4.xml><?xml version="1.0" encoding="utf-8"?>
<table xmlns="http://schemas.openxmlformats.org/spreadsheetml/2006/main" id="2" name="DonnéesExploitationEssentielles" displayName="DonnéesExploitationEssentielles" ref="A36:P41" headerRowCount="0" totalsRowShown="0" headerRowDxfId="49" dataDxfId="48">
  <tableColumns count="16">
    <tableColumn id="1" name="Colonne1" headerRowDxfId="47" dataDxfId="46"/>
    <tableColumn id="2" name="Colonne2" headerRowDxfId="45" dataDxfId="44"/>
    <tableColumn id="3" name="Colonne3" headerRowDxfId="43" dataDxfId="42"/>
    <tableColumn id="4" name="Colonne4" headerRowDxfId="41" dataDxfId="40"/>
    <tableColumn id="5" name="Colonne5" headerRowDxfId="39" dataDxfId="38"/>
    <tableColumn id="6" name="Colonne6" headerRowDxfId="37" dataDxfId="36"/>
    <tableColumn id="7" name="Colonne7" headerRowDxfId="35" dataDxfId="34"/>
    <tableColumn id="8" name="Colonne8" headerRowDxfId="33" dataDxfId="32"/>
    <tableColumn id="9" name="Colonne9" headerRowDxfId="31" dataDxfId="30"/>
    <tableColumn id="10" name="Colonne10" headerRowDxfId="29" dataDxfId="28"/>
    <tableColumn id="11" name="Colonne11" headerRowDxfId="27" dataDxfId="26"/>
    <tableColumn id="12" name="Colonne12" headerRowDxfId="25" dataDxfId="24"/>
    <tableColumn id="13" name="Colonne13" headerRowDxfId="23" dataDxfId="22"/>
    <tableColumn id="14" name="Colonne14" headerRowDxfId="21" dataDxfId="20"/>
    <tableColumn id="15" name="Colonne15" headerRowDxfId="19" dataDxfId="18">
      <calculatedColumnFormula>IFERROR(AVERAGE(DonnéesExploitationEssentielles[[#This Row],[Colonne2]:[Colonne14]]),"")</calculatedColumnFormula>
    </tableColumn>
    <tableColumn id="16" name="Colonne62" headerRowDxfId="17" dataDxfId="16"/>
  </tableColumns>
  <tableStyleInfo name="Style Budget de petite entreprise 1" showFirstColumn="0" showLastColumn="0" showRowStripes="1" showColumnStripes="0"/>
  <extLst>
    <ext xmlns:x14="http://schemas.microsoft.com/office/spreadsheetml/2009/9/main" uri="{504A1905-F514-4f6f-8877-14C23A59335A}">
      <x14:table altText="Tableau des données d’exploitation essentielles" altTextSummary="Fournit un bilan mensuel sur 12 mois pour les informations qui ne sont pas liées à la trésorerie (volume des ventes, dettes actives, mauvais crédits, etc.) avec une moyenne mensuelle. Les valeurs ne sont pas incluses dans la synthèse de la trésorerie. Dépenses liées aux transports"/>
    </ext>
  </extLst>
</table>
</file>

<file path=xl/theme/theme1.xml><?xml version="1.0" encoding="utf-8"?>
<a:theme xmlns:a="http://schemas.openxmlformats.org/drawingml/2006/main" name="genesis_mac">
  <a:themeElements>
    <a:clrScheme name="Small Business Budget 2">
      <a:dk1>
        <a:srgbClr val="0C0C0C"/>
      </a:dk1>
      <a:lt1>
        <a:sysClr val="window" lastClr="FFFFFF"/>
      </a:lt1>
      <a:dk2>
        <a:srgbClr val="363636"/>
      </a:dk2>
      <a:lt2>
        <a:srgbClr val="D8D8D8"/>
      </a:lt2>
      <a:accent1>
        <a:srgbClr val="80B622"/>
      </a:accent1>
      <a:accent2>
        <a:srgbClr val="0C0C0C"/>
      </a:accent2>
      <a:accent3>
        <a:srgbClr val="FF6600"/>
      </a:accent3>
      <a:accent4>
        <a:srgbClr val="2397E2"/>
      </a:accent4>
      <a:accent5>
        <a:srgbClr val="D7D700"/>
      </a:accent5>
      <a:accent6>
        <a:srgbClr val="CC9900"/>
      </a:accent6>
      <a:hlink>
        <a:srgbClr val="00B0F0"/>
      </a:hlink>
      <a:folHlink>
        <a:srgbClr val="0070C0"/>
      </a:folHlink>
    </a:clrScheme>
    <a:fontScheme name="Custom 6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P41"/>
  <sheetViews>
    <sheetView showGridLines="0" tabSelected="1" zoomScale="80" zoomScaleNormal="80" workbookViewId="0">
      <pane ySplit="7" topLeftCell="A8" activePane="bottomLeft" state="frozen"/>
      <selection pane="bottomLeft" activeCell="H20" sqref="H20"/>
    </sheetView>
  </sheetViews>
  <sheetFormatPr baseColWidth="10" defaultColWidth="8.81640625" defaultRowHeight="15.5" x14ac:dyDescent="0.35"/>
  <cols>
    <col min="1" max="1" width="51.453125" style="2" customWidth="1"/>
    <col min="2" max="2" width="11.453125" style="2" customWidth="1"/>
    <col min="3" max="3" width="12" style="2" customWidth="1"/>
    <col min="4" max="4" width="10.453125" style="2" customWidth="1"/>
    <col min="5" max="5" width="11.54296875" style="2" customWidth="1"/>
    <col min="6" max="6" width="11.1796875" style="2" customWidth="1"/>
    <col min="7" max="7" width="10.81640625" style="2" customWidth="1"/>
    <col min="8" max="8" width="10.54296875" style="2" customWidth="1"/>
    <col min="9" max="9" width="11" style="2" customWidth="1"/>
    <col min="10" max="10" width="10.54296875" style="2" customWidth="1"/>
    <col min="11" max="11" width="10.26953125" style="2" customWidth="1"/>
    <col min="12" max="12" width="10.54296875" style="2" customWidth="1"/>
    <col min="13" max="13" width="10.1796875" style="2" bestFit="1" customWidth="1"/>
    <col min="14" max="14" width="10.26953125" style="2" customWidth="1"/>
    <col min="15" max="15" width="13.26953125" style="2" customWidth="1"/>
    <col min="16" max="16" width="24.453125" style="2" customWidth="1"/>
    <col min="17" max="17" width="8.81640625" style="2"/>
    <col min="18" max="18" width="16.1796875" style="2" customWidth="1"/>
    <col min="19" max="19" width="16.26953125" style="2" customWidth="1"/>
    <col min="20" max="16384" width="8.81640625" style="2"/>
  </cols>
  <sheetData>
    <row r="1" spans="1:16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2.75" customHeight="1" x14ac:dyDescent="0.6">
      <c r="A2" s="31" t="s">
        <v>21</v>
      </c>
      <c r="B2" s="11"/>
      <c r="C2" s="11"/>
      <c r="D2" s="11"/>
      <c r="E2" s="50" t="s">
        <v>32</v>
      </c>
      <c r="F2" s="49">
        <f ca="1">TODAY()</f>
        <v>43201</v>
      </c>
      <c r="G2" s="39"/>
      <c r="H2" s="11"/>
      <c r="I2" s="11"/>
      <c r="J2" s="11"/>
      <c r="K2" s="11"/>
      <c r="L2" s="11"/>
      <c r="N2" s="21"/>
      <c r="O2" s="22" t="s">
        <v>15</v>
      </c>
      <c r="P2" s="39">
        <v>43101</v>
      </c>
    </row>
    <row r="3" spans="1:16" ht="17.25" customHeight="1" x14ac:dyDescent="0.35">
      <c r="A3" s="2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7.25" customHeight="1" x14ac:dyDescent="0.35">
      <c r="A4" s="3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9"/>
      <c r="P4" s="10"/>
    </row>
    <row r="5" spans="1:16" ht="17.25" customHeight="1" x14ac:dyDescent="0.35">
      <c r="A5" s="2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</row>
    <row r="6" spans="1:16" ht="8.25" customHeight="1" x14ac:dyDescent="0.3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10"/>
    </row>
    <row r="7" spans="1:16" s="15" customFormat="1" ht="29.25" customHeight="1" x14ac:dyDescent="0.2">
      <c r="A7" s="18"/>
      <c r="B7" s="23" t="s">
        <v>20</v>
      </c>
      <c r="C7" s="24">
        <f>ExerciceComptable</f>
        <v>43101</v>
      </c>
      <c r="D7" s="24">
        <f>DATE(YEAR(C7),MONTH(C7)+1,1)</f>
        <v>43132</v>
      </c>
      <c r="E7" s="24">
        <f t="shared" ref="E7:N7" si="0">DATE(YEAR(D7),MONTH(D7)+1,1)</f>
        <v>43160</v>
      </c>
      <c r="F7" s="24">
        <f t="shared" si="0"/>
        <v>43191</v>
      </c>
      <c r="G7" s="24">
        <f t="shared" si="0"/>
        <v>43221</v>
      </c>
      <c r="H7" s="24">
        <f t="shared" si="0"/>
        <v>43252</v>
      </c>
      <c r="I7" s="24">
        <f t="shared" si="0"/>
        <v>43282</v>
      </c>
      <c r="J7" s="24">
        <f t="shared" si="0"/>
        <v>43313</v>
      </c>
      <c r="K7" s="24">
        <f t="shared" si="0"/>
        <v>43344</v>
      </c>
      <c r="L7" s="24">
        <f t="shared" si="0"/>
        <v>43374</v>
      </c>
      <c r="M7" s="24">
        <f t="shared" si="0"/>
        <v>43405</v>
      </c>
      <c r="N7" s="24">
        <f t="shared" si="0"/>
        <v>43435</v>
      </c>
      <c r="O7" s="25" t="s">
        <v>6</v>
      </c>
      <c r="P7" s="26" t="s">
        <v>0</v>
      </c>
    </row>
    <row r="8" spans="1:16" ht="18" x14ac:dyDescent="0.4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0.5" customHeigh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46.5" customHeight="1" x14ac:dyDescent="0.35">
      <c r="A10" s="27" t="s">
        <v>16</v>
      </c>
      <c r="B10" s="33"/>
      <c r="C10" s="33">
        <f>SUM(B11:B13)</f>
        <v>779000</v>
      </c>
      <c r="D10" s="33">
        <f>IF(Encaissements[[#Totals],[Colonne4]]+Décaissements[[#Totals],[Colonne4]]=0,"",C15)</f>
        <v>652650</v>
      </c>
      <c r="E10" s="33">
        <f>IF(Encaissements[[#Totals],[Colonne5]]+Décaissements[[#Totals],[Colonne5]]=0,"",D15)</f>
        <v>377300</v>
      </c>
      <c r="F10" s="33">
        <f>IF(Encaissements[[#Totals],[Colonne6]]+Décaissements[[#Totals],[Colonne6]]=0,"",E15)</f>
        <v>395950</v>
      </c>
      <c r="G10" s="33">
        <f>IF(Encaissements[[#Totals],[Colonne7]]+Décaissements[[#Totals],[Colonne7]]=0,"",F15)</f>
        <v>252600</v>
      </c>
      <c r="H10" s="33">
        <f>IF(Encaissements[[#Totals],[Colonne8]]+Décaissements[[#Totals],[Colonne8]]=0,"",G15)</f>
        <v>-262750</v>
      </c>
      <c r="I10" s="33">
        <f>IF(Encaissements[[#Totals],[Colonne9]]+Décaissements[[#Totals],[Colonne9]]=0,"",H15)</f>
        <v>1584450</v>
      </c>
      <c r="J10" s="33">
        <f>IF(Encaissements[[#Totals],[Colonne10]]+Décaissements[[#Totals],[Colonne10]]=0,"",I15)</f>
        <v>1483100</v>
      </c>
      <c r="K10" s="33">
        <f>IF(Encaissements[[#Totals],[Colonne11]]+Décaissements[[#Totals],[Colonne11]]=0,"",J15)</f>
        <v>1147750</v>
      </c>
      <c r="L10" s="33">
        <f>IF(Encaissements[[#Totals],[Colonne12]]+Décaissements[[#Totals],[Colonne12]]=0,"",K15)</f>
        <v>1481350</v>
      </c>
      <c r="M10" s="33">
        <f>IF(Encaissements[[#Totals],[Colonne13]]+Décaissements[[#Totals],[Colonne13]]=0,"",L15)</f>
        <v>1323000</v>
      </c>
      <c r="N10" s="33">
        <f>IF(Encaissements[[#Totals],[Colonne14]]+Décaissements[[#Totals],[Colonne14]]=0,"",M15)</f>
        <v>1152650</v>
      </c>
      <c r="O10" s="33">
        <f>IFERROR(AVERAGE(Synthèse[[#This Row],[Colonne3]:[Colonne14]]),"")</f>
        <v>863920.83333333337</v>
      </c>
      <c r="P10" s="1"/>
    </row>
    <row r="11" spans="1:16" x14ac:dyDescent="0.35">
      <c r="A11" s="40" t="s">
        <v>22</v>
      </c>
      <c r="B11" s="33">
        <v>7700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"/>
    </row>
    <row r="12" spans="1:16" x14ac:dyDescent="0.35">
      <c r="A12" s="40" t="s">
        <v>36</v>
      </c>
      <c r="B12" s="33">
        <v>139500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"/>
    </row>
    <row r="13" spans="1:16" x14ac:dyDescent="0.35">
      <c r="A13" s="40" t="s">
        <v>35</v>
      </c>
      <c r="B13" s="33">
        <v>631800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"/>
    </row>
    <row r="14" spans="1:16" ht="29.25" customHeight="1" x14ac:dyDescent="0.35">
      <c r="A14" s="27" t="s">
        <v>17</v>
      </c>
      <c r="B14" s="33" t="str">
        <f>IF(B10="","",SUM(B10,Encaissements[[#Totals],[Colonne2]]))</f>
        <v/>
      </c>
      <c r="C14" s="33">
        <f>IF(C10="","",SUM(C10,Encaissements[[#Totals],[Colonne3]]))</f>
        <v>1224300</v>
      </c>
      <c r="D14" s="33">
        <f>IF(D10="","",SUM(D10,Encaissements[[#Totals],[Colonne4]]))</f>
        <v>1172950</v>
      </c>
      <c r="E14" s="33">
        <f>IF(E10="","",SUM(E10,Encaissements[[#Totals],[Colonne5]]))</f>
        <v>967600</v>
      </c>
      <c r="F14" s="33">
        <f>IF(F10="","",SUM(F10,Encaissements[[#Totals],[Colonne6]]))</f>
        <v>876250</v>
      </c>
      <c r="G14" s="33">
        <f>IF(G10="","",SUM(G10,Encaissements[[#Totals],[Colonne7]]))</f>
        <v>647900</v>
      </c>
      <c r="H14" s="33">
        <f>IF(H10="","",SUM(H10,Encaissements[[#Totals],[Colonne8]]))</f>
        <v>2156100</v>
      </c>
      <c r="I14" s="33">
        <f>IF(I10="","",SUM(I10,Encaissements[[#Totals],[Colonne9]]))</f>
        <v>2054750</v>
      </c>
      <c r="J14" s="33">
        <f>IF(J10="","",SUM(J10,Encaissements[[#Totals],[Colonne10]]))</f>
        <v>1943400</v>
      </c>
      <c r="K14" s="33">
        <f>IF(K10="","",SUM(K10,Encaissements[[#Totals],[Colonne11]]))</f>
        <v>2053000</v>
      </c>
      <c r="L14" s="33">
        <f>IF(L10="","",SUM(L10,Encaissements[[#Totals],[Colonne12]]))</f>
        <v>1946650</v>
      </c>
      <c r="M14" s="33">
        <f>IF(M10="","",SUM(M10,Encaissements[[#Totals],[Colonne13]]))</f>
        <v>1798300</v>
      </c>
      <c r="N14" s="33">
        <f>IF(N10="","",SUM(N10,Encaissements[[#Totals],[Colonne14]]))</f>
        <v>1582950</v>
      </c>
      <c r="O14" s="33">
        <f>IFERROR(AVERAGE(Synthèse[[#This Row],[Colonne3]:[Colonne14]]),"")</f>
        <v>1535345.8333333333</v>
      </c>
      <c r="P14" s="1"/>
    </row>
    <row r="15" spans="1:16" ht="33" customHeight="1" thickBot="1" x14ac:dyDescent="0.4">
      <c r="A15" s="42" t="s">
        <v>18</v>
      </c>
      <c r="B15" s="43" t="str">
        <f>IFERROR(B14-Décaissements[[#Totals],[Colonne2]],"")</f>
        <v/>
      </c>
      <c r="C15" s="43">
        <f>IFERROR(C14-Décaissements[[#Totals],[Colonne3]],"")</f>
        <v>652650</v>
      </c>
      <c r="D15" s="43">
        <f>IFERROR(D14-Décaissements[[#Totals],[Colonne4]],"")</f>
        <v>377300</v>
      </c>
      <c r="E15" s="43">
        <f>IFERROR(E14-Décaissements[[#Totals],[Colonne5]],"")</f>
        <v>395950</v>
      </c>
      <c r="F15" s="43">
        <f>IFERROR(F14-Décaissements[[#Totals],[Colonne6]],"")</f>
        <v>252600</v>
      </c>
      <c r="G15" s="43">
        <f>IFERROR(G14-Décaissements[[#Totals],[Colonne7]],"")</f>
        <v>-262750</v>
      </c>
      <c r="H15" s="43">
        <f>IFERROR(H14-Décaissements[[#Totals],[Colonne8]],"")</f>
        <v>1584450</v>
      </c>
      <c r="I15" s="43">
        <f>IFERROR(I14-Décaissements[[#Totals],[Colonne9]],"")</f>
        <v>1483100</v>
      </c>
      <c r="J15" s="43">
        <f>IFERROR(J14-Décaissements[[#Totals],[Colonne10]],"")</f>
        <v>1147750</v>
      </c>
      <c r="K15" s="43">
        <f>IFERROR(K14-Décaissements[[#Totals],[Colonne11]],"")</f>
        <v>1481350</v>
      </c>
      <c r="L15" s="43">
        <f>IFERROR(L14-Décaissements[[#Totals],[Colonne12]],"")</f>
        <v>1323000</v>
      </c>
      <c r="M15" s="43">
        <f>IFERROR(M14-Décaissements[[#Totals],[Colonne13]],"")</f>
        <v>1152650</v>
      </c>
      <c r="N15" s="43">
        <f>IFERROR(N14-Décaissements[[#Totals],[Colonne14]],"")</f>
        <v>861300</v>
      </c>
      <c r="O15" s="43">
        <f>IFERROR(AVERAGE(Synthèse[[#This Row],[Colonne3]:[Colonne14]]),"")</f>
        <v>870779.16666666663</v>
      </c>
      <c r="P15" s="44"/>
    </row>
    <row r="16" spans="1:16" ht="17.25" customHeight="1" x14ac:dyDescent="0.3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s="17" customFormat="1" ht="17.25" customHeight="1" x14ac:dyDescent="0.35">
      <c r="A17" s="35" t="s">
        <v>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3"/>
    </row>
    <row r="18" spans="1:16" s="17" customFormat="1" ht="17.25" customHeight="1" x14ac:dyDescent="0.35">
      <c r="A18" s="27" t="s">
        <v>34</v>
      </c>
      <c r="B18" s="33"/>
      <c r="C18" s="33">
        <f>MROUND((675360+768415)/12,50)</f>
        <v>120300</v>
      </c>
      <c r="D18" s="33">
        <f>MROUND((675360+768415)/12+(120000/4),50)</f>
        <v>150300</v>
      </c>
      <c r="E18" s="33">
        <f>MROUND((675360+768415)/12,50)</f>
        <v>120300</v>
      </c>
      <c r="F18" s="33">
        <f>MROUND((675360+768415)/12,50)</f>
        <v>120300</v>
      </c>
      <c r="G18" s="33">
        <f>MROUND((675360+768415)/12+(120000/4),50)</f>
        <v>150300</v>
      </c>
      <c r="H18" s="33">
        <f>MROUND((675360+768415)/12+160000+(2191917*0.8),50)</f>
        <v>2033850</v>
      </c>
      <c r="I18" s="33">
        <f>MROUND((675360+768415)/12,50)</f>
        <v>120300</v>
      </c>
      <c r="J18" s="33">
        <f>MROUND((675360+768415)/12+(120000/4),50)</f>
        <v>150300</v>
      </c>
      <c r="K18" s="33">
        <f>MROUND((675360+768415)/12+(2174576*0.2),50)</f>
        <v>555250</v>
      </c>
      <c r="L18" s="33">
        <f>MROUND((675360+768415)/12,50)</f>
        <v>120300</v>
      </c>
      <c r="M18" s="33">
        <f>MROUND((675360+768415)/12+(120000/4),50)</f>
        <v>150300</v>
      </c>
      <c r="N18" s="33">
        <f>MROUND((675360+768415)/12,50)</f>
        <v>120300</v>
      </c>
      <c r="O18" s="33">
        <f>IFERROR(AVERAGE(Encaissements[[#This Row],[Colonne3]:[Colonne14]]),"")</f>
        <v>326008.33333333331</v>
      </c>
      <c r="P18" s="16"/>
    </row>
    <row r="19" spans="1:16" s="17" customFormat="1" ht="17.25" customHeight="1" x14ac:dyDescent="0.35">
      <c r="A19" s="27" t="s">
        <v>33</v>
      </c>
      <c r="B19" s="33"/>
      <c r="C19" s="33">
        <f>MROUND(4137483/12*0.94,5000)</f>
        <v>325000</v>
      </c>
      <c r="D19" s="33">
        <f>MROUND(4137483/12*1.07,5000)</f>
        <v>370000</v>
      </c>
      <c r="E19" s="33">
        <f>MROUND(4137483/12*1.36,5000)</f>
        <v>470000</v>
      </c>
      <c r="F19" s="33">
        <f>MROUND(4137483/12*1.04,5000)</f>
        <v>360000</v>
      </c>
      <c r="G19" s="33">
        <f>MROUND(4137483/12*0.71,5000)</f>
        <v>245000</v>
      </c>
      <c r="H19" s="33">
        <f>MROUND(4137483/12*1.11,5000)</f>
        <v>385000</v>
      </c>
      <c r="I19" s="33">
        <f>MROUND(4137483/12*1.02,5000)</f>
        <v>350000</v>
      </c>
      <c r="J19" s="33">
        <f>MROUND(4137483/12*0.9,5000)</f>
        <v>310000</v>
      </c>
      <c r="K19" s="33">
        <f>MROUND(4137483/12*1.01,5000)</f>
        <v>350000</v>
      </c>
      <c r="L19" s="33">
        <f>MROUND(4137483/12*1,5000)</f>
        <v>345000</v>
      </c>
      <c r="M19" s="33">
        <f>MROUND(4137483/12*0.94,5000)</f>
        <v>325000</v>
      </c>
      <c r="N19" s="33">
        <f>MROUND(4137483/12*0.9,5000)</f>
        <v>310000</v>
      </c>
      <c r="O19" s="33">
        <f>IFERROR(AVERAGE(Encaissements[[#This Row],[Colonne3]:[Colonne14]]),"")</f>
        <v>345416.66666666669</v>
      </c>
      <c r="P19" s="16"/>
    </row>
    <row r="20" spans="1:16" s="17" customFormat="1" ht="17.25" customHeight="1" x14ac:dyDescent="0.35">
      <c r="A20" s="27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 t="str">
        <f>IFERROR(AVERAGE(Encaissements[[#This Row],[Colonne3]:[Colonne14]]),"")</f>
        <v/>
      </c>
      <c r="P20" s="16"/>
    </row>
    <row r="21" spans="1:16" s="17" customFormat="1" ht="17.25" customHeight="1" x14ac:dyDescent="0.35">
      <c r="A21" s="46" t="s">
        <v>5</v>
      </c>
      <c r="B21" s="47">
        <f>SUBTOTAL(109,Encaissements[Colonne2])</f>
        <v>0</v>
      </c>
      <c r="C21" s="47">
        <f>SUBTOTAL(109,Encaissements[Colonne3])</f>
        <v>445300</v>
      </c>
      <c r="D21" s="47">
        <f>SUBTOTAL(109,Encaissements[Colonne4])</f>
        <v>520300</v>
      </c>
      <c r="E21" s="47">
        <f>SUBTOTAL(109,Encaissements[Colonne5])</f>
        <v>590300</v>
      </c>
      <c r="F21" s="47">
        <f>SUBTOTAL(109,Encaissements[Colonne6])</f>
        <v>480300</v>
      </c>
      <c r="G21" s="47">
        <f>SUBTOTAL(109,Encaissements[Colonne7])</f>
        <v>395300</v>
      </c>
      <c r="H21" s="47">
        <f>SUBTOTAL(109,Encaissements[Colonne8])</f>
        <v>2418850</v>
      </c>
      <c r="I21" s="47">
        <f>SUBTOTAL(109,Encaissements[Colonne9])</f>
        <v>470300</v>
      </c>
      <c r="J21" s="47">
        <f>SUBTOTAL(109,Encaissements[Colonne10])</f>
        <v>460300</v>
      </c>
      <c r="K21" s="47">
        <f>SUBTOTAL(109,Encaissements[Colonne11])</f>
        <v>905250</v>
      </c>
      <c r="L21" s="47">
        <f>SUBTOTAL(109,Encaissements[Colonne12])</f>
        <v>465300</v>
      </c>
      <c r="M21" s="47">
        <f>SUBTOTAL(109,Encaissements[Colonne13])</f>
        <v>475300</v>
      </c>
      <c r="N21" s="47">
        <f>SUBTOTAL(109,Encaissements[Colonne14])</f>
        <v>430300</v>
      </c>
      <c r="O21" s="47">
        <f>IFERROR(AVERAGE(Encaissements[[#Totals],[Colonne3]:[Colonne14]]),"")</f>
        <v>671425</v>
      </c>
      <c r="P21" s="48"/>
    </row>
    <row r="22" spans="1:16" s="17" customFormat="1" ht="17.25" customHeight="1" x14ac:dyDescent="0.3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s="17" customFormat="1" ht="17.25" customHeight="1" x14ac:dyDescent="0.35">
      <c r="A23" s="35" t="s">
        <v>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4"/>
    </row>
    <row r="24" spans="1:16" s="17" customFormat="1" ht="17.25" customHeight="1" x14ac:dyDescent="0.35">
      <c r="A24" s="27" t="s">
        <v>24</v>
      </c>
      <c r="B24" s="33"/>
      <c r="C24" s="33">
        <f>MROUND((285000/12),5000)</f>
        <v>25000</v>
      </c>
      <c r="D24" s="33">
        <f t="shared" ref="D24:N24" si="1">MROUND((285000/12),5000)</f>
        <v>25000</v>
      </c>
      <c r="E24" s="33">
        <f t="shared" si="1"/>
        <v>25000</v>
      </c>
      <c r="F24" s="33">
        <f t="shared" si="1"/>
        <v>25000</v>
      </c>
      <c r="G24" s="33">
        <f t="shared" si="1"/>
        <v>25000</v>
      </c>
      <c r="H24" s="33">
        <f t="shared" si="1"/>
        <v>25000</v>
      </c>
      <c r="I24" s="33">
        <f t="shared" si="1"/>
        <v>25000</v>
      </c>
      <c r="J24" s="33">
        <f t="shared" si="1"/>
        <v>25000</v>
      </c>
      <c r="K24" s="33">
        <f t="shared" si="1"/>
        <v>25000</v>
      </c>
      <c r="L24" s="33">
        <f t="shared" si="1"/>
        <v>25000</v>
      </c>
      <c r="M24" s="33">
        <f t="shared" si="1"/>
        <v>25000</v>
      </c>
      <c r="N24" s="33">
        <f t="shared" si="1"/>
        <v>25000</v>
      </c>
      <c r="O24" s="33">
        <f>IFERROR(AVERAGE(Décaissements[[#This Row],[Colonne3]:[Colonne14]]),"")</f>
        <v>25000</v>
      </c>
      <c r="P24" s="16"/>
    </row>
    <row r="25" spans="1:16" s="17" customFormat="1" ht="17.25" customHeight="1" x14ac:dyDescent="0.35">
      <c r="A25" s="27" t="s">
        <v>29</v>
      </c>
      <c r="B25" s="33"/>
      <c r="C25" s="33">
        <f>MROUND((5000000/12),50)</f>
        <v>416650</v>
      </c>
      <c r="D25" s="33">
        <f t="shared" ref="D25:N25" si="2">MROUND((5000000/12),50)</f>
        <v>416650</v>
      </c>
      <c r="E25" s="33">
        <f t="shared" si="2"/>
        <v>416650</v>
      </c>
      <c r="F25" s="33">
        <f t="shared" si="2"/>
        <v>416650</v>
      </c>
      <c r="G25" s="33">
        <f t="shared" si="2"/>
        <v>416650</v>
      </c>
      <c r="H25" s="33">
        <f t="shared" si="2"/>
        <v>416650</v>
      </c>
      <c r="I25" s="33">
        <f t="shared" si="2"/>
        <v>416650</v>
      </c>
      <c r="J25" s="33">
        <f t="shared" si="2"/>
        <v>416650</v>
      </c>
      <c r="K25" s="33">
        <f t="shared" si="2"/>
        <v>416650</v>
      </c>
      <c r="L25" s="33">
        <f t="shared" si="2"/>
        <v>416650</v>
      </c>
      <c r="M25" s="33">
        <f t="shared" si="2"/>
        <v>416650</v>
      </c>
      <c r="N25" s="33">
        <f t="shared" si="2"/>
        <v>416650</v>
      </c>
      <c r="O25" s="33">
        <f>IFERROR(AVERAGE(Décaissements[[#This Row],[Colonne3]:[Colonne14]]),"")</f>
        <v>416650</v>
      </c>
      <c r="P25" s="16"/>
    </row>
    <row r="26" spans="1:16" s="17" customFormat="1" ht="17.25" customHeight="1" x14ac:dyDescent="0.35">
      <c r="A26" s="27" t="s">
        <v>27</v>
      </c>
      <c r="B26" s="33"/>
      <c r="C26" s="33">
        <v>65000</v>
      </c>
      <c r="D26" s="33">
        <v>65000</v>
      </c>
      <c r="E26" s="33">
        <v>65000</v>
      </c>
      <c r="F26" s="33">
        <v>65000</v>
      </c>
      <c r="G26" s="33">
        <v>65000</v>
      </c>
      <c r="H26" s="33">
        <v>65000</v>
      </c>
      <c r="I26" s="33">
        <v>65000</v>
      </c>
      <c r="J26" s="33">
        <v>65000</v>
      </c>
      <c r="K26" s="33">
        <v>65000</v>
      </c>
      <c r="L26" s="33">
        <v>65000</v>
      </c>
      <c r="M26" s="33">
        <v>65000</v>
      </c>
      <c r="N26" s="33">
        <v>65000</v>
      </c>
      <c r="O26" s="33">
        <f>IFERROR(AVERAGE(Décaissements[[#This Row],[Colonne3]:[Colonne14]]),"")</f>
        <v>65000</v>
      </c>
      <c r="P26" s="16"/>
    </row>
    <row r="27" spans="1:16" s="17" customFormat="1" ht="17.25" customHeight="1" x14ac:dyDescent="0.35">
      <c r="A27" s="38" t="s">
        <v>28</v>
      </c>
      <c r="B27" s="33"/>
      <c r="C27" s="41">
        <v>0</v>
      </c>
      <c r="D27" s="33">
        <v>150000</v>
      </c>
      <c r="E27" s="41">
        <v>0</v>
      </c>
      <c r="F27" s="41">
        <v>0</v>
      </c>
      <c r="G27" s="33">
        <v>150000</v>
      </c>
      <c r="H27" s="41">
        <v>0</v>
      </c>
      <c r="I27" s="41">
        <v>0</v>
      </c>
      <c r="J27" s="33">
        <v>150000</v>
      </c>
      <c r="K27" s="41">
        <v>0</v>
      </c>
      <c r="L27" s="41">
        <v>0</v>
      </c>
      <c r="M27" s="41">
        <v>0</v>
      </c>
      <c r="N27" s="33">
        <v>150000</v>
      </c>
      <c r="O27" s="33">
        <f>IFERROR(AVERAGE(Décaissements[[#This Row],[Colonne3]:[Colonne14]]),"")</f>
        <v>50000</v>
      </c>
      <c r="P27" s="16"/>
    </row>
    <row r="28" spans="1:16" s="17" customFormat="1" ht="17.25" customHeight="1" x14ac:dyDescent="0.35">
      <c r="A28" s="45" t="s">
        <v>30</v>
      </c>
      <c r="B28" s="33"/>
      <c r="C28" s="41">
        <v>0</v>
      </c>
      <c r="D28" s="33">
        <v>24000</v>
      </c>
      <c r="E28" s="41">
        <v>0</v>
      </c>
      <c r="F28" s="41">
        <v>0</v>
      </c>
      <c r="G28" s="33">
        <f>115000+24000</f>
        <v>139000</v>
      </c>
      <c r="H28" s="41">
        <v>0</v>
      </c>
      <c r="I28" s="41">
        <v>0</v>
      </c>
      <c r="J28" s="33">
        <v>24000</v>
      </c>
      <c r="K28" s="41">
        <v>0</v>
      </c>
      <c r="L28" s="41">
        <v>0</v>
      </c>
      <c r="M28" s="33">
        <v>24000</v>
      </c>
      <c r="N28" s="41">
        <v>0</v>
      </c>
      <c r="O28" s="33">
        <f>IFERROR(AVERAGE(Décaissements[[#This Row],[Colonne3]:[Colonne14]]),"")</f>
        <v>17583.333333333332</v>
      </c>
      <c r="P28" s="16"/>
    </row>
    <row r="29" spans="1:16" s="17" customFormat="1" ht="17.25" customHeight="1" x14ac:dyDescent="0.35">
      <c r="A29" s="27" t="s">
        <v>25</v>
      </c>
      <c r="B29" s="33"/>
      <c r="C29" s="41">
        <v>0</v>
      </c>
      <c r="D29" s="33">
        <v>50000</v>
      </c>
      <c r="E29" s="41">
        <v>0</v>
      </c>
      <c r="F29" s="41">
        <v>0</v>
      </c>
      <c r="G29" s="33">
        <v>50000</v>
      </c>
      <c r="H29" s="41">
        <v>0</v>
      </c>
      <c r="I29" s="41">
        <v>0</v>
      </c>
      <c r="J29" s="33">
        <v>50000</v>
      </c>
      <c r="K29" s="41">
        <v>0</v>
      </c>
      <c r="L29" s="41">
        <v>0</v>
      </c>
      <c r="M29" s="33">
        <v>50000</v>
      </c>
      <c r="N29" s="41">
        <v>0</v>
      </c>
      <c r="O29" s="33">
        <f>IFERROR(AVERAGE(Décaissements[[#This Row],[Colonne3]:[Colonne14]]),"")</f>
        <v>16666.666666666668</v>
      </c>
      <c r="P29" s="16"/>
    </row>
    <row r="30" spans="1:16" s="17" customFormat="1" ht="17.25" customHeight="1" x14ac:dyDescent="0.35">
      <c r="A30" s="37" t="s">
        <v>26</v>
      </c>
      <c r="B30" s="33"/>
      <c r="C30" s="33">
        <f>MROUND((317025)/12,500)</f>
        <v>26500</v>
      </c>
      <c r="D30" s="33">
        <f t="shared" ref="D30:N30" si="3">MROUND((317025)/12,500)</f>
        <v>26500</v>
      </c>
      <c r="E30" s="33">
        <f t="shared" si="3"/>
        <v>26500</v>
      </c>
      <c r="F30" s="33">
        <f t="shared" si="3"/>
        <v>26500</v>
      </c>
      <c r="G30" s="33">
        <f t="shared" si="3"/>
        <v>26500</v>
      </c>
      <c r="H30" s="33">
        <f t="shared" si="3"/>
        <v>26500</v>
      </c>
      <c r="I30" s="33">
        <f t="shared" si="3"/>
        <v>26500</v>
      </c>
      <c r="J30" s="33">
        <f t="shared" si="3"/>
        <v>26500</v>
      </c>
      <c r="K30" s="33">
        <f t="shared" si="3"/>
        <v>26500</v>
      </c>
      <c r="L30" s="33">
        <f t="shared" si="3"/>
        <v>26500</v>
      </c>
      <c r="M30" s="33">
        <f t="shared" si="3"/>
        <v>26500</v>
      </c>
      <c r="N30" s="33">
        <f t="shared" si="3"/>
        <v>26500</v>
      </c>
      <c r="O30" s="33">
        <f>IFERROR(AVERAGE(Décaissements[[#This Row],[Colonne3]:[Colonne14]]),"")</f>
        <v>26500</v>
      </c>
      <c r="P30" s="16"/>
    </row>
    <row r="31" spans="1:16" s="17" customFormat="1" ht="17.25" customHeight="1" x14ac:dyDescent="0.35">
      <c r="A31" s="27" t="s">
        <v>31</v>
      </c>
      <c r="B31" s="33"/>
      <c r="C31" s="41">
        <v>0</v>
      </c>
      <c r="D31" s="41">
        <v>0</v>
      </c>
      <c r="E31" s="41">
        <v>0</v>
      </c>
      <c r="F31" s="33">
        <f>20500+31500</f>
        <v>52000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33">
        <f>20500+31500</f>
        <v>52000</v>
      </c>
      <c r="M31" s="41">
        <v>0</v>
      </c>
      <c r="N31" s="41">
        <v>0</v>
      </c>
      <c r="O31" s="33">
        <f>IFERROR(AVERAGE(Décaissements[[#This Row],[Colonne3]:[Colonne14]]),"")</f>
        <v>8666.6666666666661</v>
      </c>
      <c r="P31" s="16"/>
    </row>
    <row r="32" spans="1:16" s="17" customFormat="1" ht="17.25" customHeight="1" x14ac:dyDescent="0.35">
      <c r="A32" s="37" t="s">
        <v>23</v>
      </c>
      <c r="B32" s="33"/>
      <c r="C32" s="33">
        <f>MROUND(((8332258-359643)-SUM($C$24:$N$31))/12,500)</f>
        <v>38500</v>
      </c>
      <c r="D32" s="33">
        <f t="shared" ref="D32:N32" si="4">MROUND(((8332258-359643)-SUM($C$24:$N$31))/12,500)</f>
        <v>38500</v>
      </c>
      <c r="E32" s="33">
        <f t="shared" si="4"/>
        <v>38500</v>
      </c>
      <c r="F32" s="33">
        <f t="shared" si="4"/>
        <v>38500</v>
      </c>
      <c r="G32" s="33">
        <f t="shared" si="4"/>
        <v>38500</v>
      </c>
      <c r="H32" s="33">
        <f t="shared" si="4"/>
        <v>38500</v>
      </c>
      <c r="I32" s="33">
        <f t="shared" si="4"/>
        <v>38500</v>
      </c>
      <c r="J32" s="33">
        <f t="shared" si="4"/>
        <v>38500</v>
      </c>
      <c r="K32" s="33">
        <f t="shared" si="4"/>
        <v>38500</v>
      </c>
      <c r="L32" s="33">
        <f t="shared" si="4"/>
        <v>38500</v>
      </c>
      <c r="M32" s="33">
        <f t="shared" si="4"/>
        <v>38500</v>
      </c>
      <c r="N32" s="33">
        <f t="shared" si="4"/>
        <v>38500</v>
      </c>
      <c r="O32" s="33">
        <f>IFERROR(AVERAGE(Décaissements[[#This Row],[Colonne3]:[Colonne14]]),"")</f>
        <v>38500</v>
      </c>
      <c r="P32" s="16"/>
    </row>
    <row r="33" spans="1:16" s="17" customFormat="1" ht="17.25" customHeight="1" x14ac:dyDescent="0.35">
      <c r="A33" s="46" t="s">
        <v>4</v>
      </c>
      <c r="B33" s="47"/>
      <c r="C33" s="47">
        <f>SUBTOTAL(109,Décaissements[Colonne3])</f>
        <v>571650</v>
      </c>
      <c r="D33" s="47">
        <f>SUBTOTAL(109,Décaissements[Colonne4])</f>
        <v>795650</v>
      </c>
      <c r="E33" s="47">
        <f>SUBTOTAL(109,Décaissements[Colonne5])</f>
        <v>571650</v>
      </c>
      <c r="F33" s="47">
        <f>SUBTOTAL(109,Décaissements[Colonne6])</f>
        <v>623650</v>
      </c>
      <c r="G33" s="47">
        <f>SUBTOTAL(109,Décaissements[Colonne7])</f>
        <v>910650</v>
      </c>
      <c r="H33" s="47">
        <f>SUBTOTAL(109,Décaissements[Colonne8])</f>
        <v>571650</v>
      </c>
      <c r="I33" s="47">
        <f>SUBTOTAL(109,Décaissements[Colonne9])</f>
        <v>571650</v>
      </c>
      <c r="J33" s="47">
        <f>SUBTOTAL(109,Décaissements[Colonne10])</f>
        <v>795650</v>
      </c>
      <c r="K33" s="47">
        <f>SUBTOTAL(109,Décaissements[Colonne11])</f>
        <v>571650</v>
      </c>
      <c r="L33" s="47">
        <f>SUBTOTAL(109,Décaissements[Colonne12])</f>
        <v>623650</v>
      </c>
      <c r="M33" s="47">
        <f>SUBTOTAL(109,Décaissements[Colonne13])</f>
        <v>645650</v>
      </c>
      <c r="N33" s="47">
        <f>SUBTOTAL(109,Décaissements[Colonne14])</f>
        <v>721650</v>
      </c>
      <c r="O33" s="47">
        <f>IFERROR(AVERAGE(Décaissements[[#Totals],[Colonne3]:[Colonne14]]),"")</f>
        <v>664566.66666666663</v>
      </c>
      <c r="P33" s="48"/>
    </row>
    <row r="34" spans="1:16" s="17" customFormat="1" ht="17.25" customHeight="1" x14ac:dyDescent="0.3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s="17" customFormat="1" ht="17.25" hidden="1" customHeight="1" x14ac:dyDescent="0.35">
      <c r="A35" s="35" t="s">
        <v>19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idden="1" x14ac:dyDescent="0.35">
      <c r="A36" s="27" t="s">
        <v>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 t="str">
        <f>IFERROR(AVERAGE(DonnéesExploitationEssentielles[[#This Row],[Colonne2]:[Colonne14]]),"")</f>
        <v/>
      </c>
      <c r="P36" s="16"/>
    </row>
    <row r="37" spans="1:16" hidden="1" x14ac:dyDescent="0.35">
      <c r="A37" s="27" t="s">
        <v>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 t="str">
        <f>IFERROR(AVERAGE(DonnéesExploitationEssentielles[[#This Row],[Colonne2]:[Colonne14]]),"")</f>
        <v/>
      </c>
      <c r="P37" s="16"/>
    </row>
    <row r="38" spans="1:16" hidden="1" x14ac:dyDescent="0.35">
      <c r="A38" s="27" t="s">
        <v>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 t="str">
        <f>IFERROR(AVERAGE(DonnéesExploitationEssentielles[[#This Row],[Colonne2]:[Colonne14]]),"")</f>
        <v/>
      </c>
      <c r="P38" s="16"/>
    </row>
    <row r="39" spans="1:16" hidden="1" x14ac:dyDescent="0.35">
      <c r="A39" s="27" t="s">
        <v>11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 t="str">
        <f>IFERROR(AVERAGE(DonnéesExploitationEssentielles[[#This Row],[Colonne2]:[Colonne14]]),"")</f>
        <v/>
      </c>
      <c r="P39" s="16"/>
    </row>
    <row r="40" spans="1:16" hidden="1" x14ac:dyDescent="0.35">
      <c r="A40" s="27" t="s">
        <v>12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 t="str">
        <f>IFERROR(AVERAGE(DonnéesExploitationEssentielles[[#This Row],[Colonne2]:[Colonne14]]),"")</f>
        <v/>
      </c>
      <c r="P40" s="16"/>
    </row>
    <row r="41" spans="1:16" hidden="1" x14ac:dyDescent="0.35">
      <c r="A41" s="27" t="s">
        <v>13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 t="str">
        <f>IFERROR(AVERAGE(DonnéesExploitationEssentielles[[#This Row],[Colonne2]:[Colonne14]]),"")</f>
        <v/>
      </c>
      <c r="P41" s="16"/>
    </row>
  </sheetData>
  <mergeCells count="4">
    <mergeCell ref="A16:P16"/>
    <mergeCell ref="A8:P8"/>
    <mergeCell ref="A22:P22"/>
    <mergeCell ref="A34:P34"/>
  </mergeCells>
  <printOptions horizontalCentered="1"/>
  <pageMargins left="0.2" right="0.2" top="0.51181102362204722" bottom="0.51181102362204722" header="0.31496062992125984" footer="0.31496062992125984"/>
  <pageSetup paperSize="9" scale="67" orientation="landscape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'Flux de trésorerie sur 12 moisB'!B33:N33</xm:f>
              <xm:sqref>P33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'Flux de trésorerie sur 12 moisB'!C21:N21</xm:f>
              <xm:sqref>P21</xm:sqref>
            </x14:sparkline>
          </x14:sparklines>
        </x14:sparklineGroup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'Flux de trésorerie sur 12 moisB'!C10:N10</xm:f>
              <xm:sqref>P10</xm:sqref>
            </x14:sparkline>
            <x14:sparkline>
              <xm:f>'Flux de trésorerie sur 12 moisB'!C14:N14</xm:f>
              <xm:sqref>P14</xm:sqref>
            </x14:sparkline>
            <x14:sparkline>
              <xm:f>'Flux de trésorerie sur 12 moisB'!C15:N15</xm:f>
              <xm:sqref>P15</xm:sqref>
            </x14:sparkline>
          </x14:sparklines>
        </x14:sparklineGroup>
        <x14:sparklineGroup manualMax="0" manualMin="0" displayEmptyCellsAs="gap" markers="1" high="1" low="1" first="1" last="1" negative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4"/>
          <x14:colorLow theme="1" tint="0.249977111117893"/>
          <x14:sparklines>
            <x14:sparkline>
              <xm:f>'Flux de trésorerie sur 12 moisB'!C36:N36</xm:f>
              <xm:sqref>P36</xm:sqref>
            </x14:sparkline>
            <x14:sparkline>
              <xm:f>'Flux de trésorerie sur 12 moisB'!C20:N20</xm:f>
              <xm:sqref>P20</xm:sqref>
            </x14:sparkline>
            <x14:sparkline>
              <xm:f>'Flux de trésorerie sur 12 moisB'!C19:N19</xm:f>
              <xm:sqref>P19</xm:sqref>
            </x14:sparkline>
            <x14:sparkline>
              <xm:f>'Flux de trésorerie sur 12 moisB'!C18:N18</xm:f>
              <xm:sqref>P18</xm:sqref>
            </x14:sparkline>
            <x14:sparkline>
              <xm:f>'Flux de trésorerie sur 12 moisB'!C30:N30</xm:f>
              <xm:sqref>P30</xm:sqref>
            </x14:sparkline>
            <x14:sparkline>
              <xm:f>'Flux de trésorerie sur 12 moisB'!C32:N32</xm:f>
              <xm:sqref>P32</xm:sqref>
            </x14:sparkline>
            <x14:sparkline>
              <xm:f>'Flux de trésorerie sur 12 moisB'!C29:N29</xm:f>
              <xm:sqref>P29</xm:sqref>
            </x14:sparkline>
            <x14:sparkline>
              <xm:f>'Flux de trésorerie sur 12 moisB'!C26:N26</xm:f>
              <xm:sqref>P26</xm:sqref>
            </x14:sparkline>
            <x14:sparkline>
              <xm:f>'Flux de trésorerie sur 12 moisB'!C27:N27</xm:f>
              <xm:sqref>P27</xm:sqref>
            </x14:sparkline>
            <x14:sparkline>
              <xm:f>'Flux de trésorerie sur 12 moisB'!C28:N28</xm:f>
              <xm:sqref>P28</xm:sqref>
            </x14:sparkline>
            <x14:sparkline>
              <xm:f>'Flux de trésorerie sur 12 moisB'!C25:N25</xm:f>
              <xm:sqref>P25</xm:sqref>
            </x14:sparkline>
            <x14:sparkline>
              <xm:f>'Flux de trésorerie sur 12 moisB'!C31:N31</xm:f>
              <xm:sqref>P31</xm:sqref>
            </x14:sparkline>
            <x14:sparkline>
              <xm:f>'Flux de trésorerie sur 12 moisB'!C24:N24</xm:f>
              <xm:sqref>P24</xm:sqref>
            </x14:sparkline>
            <x14:sparkline>
              <xm:f>'Flux de trésorerie sur 12 moisB'!C37:N37</xm:f>
              <xm:sqref>P37</xm:sqref>
            </x14:sparkline>
            <x14:sparkline>
              <xm:f>'Flux de trésorerie sur 12 moisB'!C38:N38</xm:f>
              <xm:sqref>P38</xm:sqref>
            </x14:sparkline>
            <x14:sparkline>
              <xm:f>'Flux de trésorerie sur 12 moisB'!C39:N39</xm:f>
              <xm:sqref>P39</xm:sqref>
            </x14:sparkline>
            <x14:sparkline>
              <xm:f>'Flux de trésorerie sur 12 moisB'!C40:N40</xm:f>
              <xm:sqref>P40</xm:sqref>
            </x14:sparkline>
            <x14:sparkline>
              <xm:f>'Flux de trésorerie sur 12 moisB'!C41:N41</xm:f>
              <xm:sqref>P41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25:L30"/>
  <sheetViews>
    <sheetView showGridLines="0" zoomScale="87" zoomScaleNormal="87" workbookViewId="0"/>
  </sheetViews>
  <sheetFormatPr baseColWidth="10" defaultColWidth="9.1796875" defaultRowHeight="12.5" x14ac:dyDescent="0.25"/>
  <cols>
    <col min="1" max="1" width="2.54296875" style="3" customWidth="1"/>
    <col min="2" max="8" width="9.7265625" style="3" customWidth="1"/>
    <col min="9" max="9" width="15.81640625" style="3" customWidth="1"/>
    <col min="10" max="11" width="9.7265625" style="3" customWidth="1"/>
    <col min="12" max="12" width="2.7265625" style="3" customWidth="1"/>
    <col min="13" max="13" width="6.54296875" style="3" customWidth="1"/>
    <col min="14" max="16384" width="9.1796875" style="3"/>
  </cols>
  <sheetData>
    <row r="25" spans="1:12" x14ac:dyDescent="0.25">
      <c r="K25" s="19"/>
      <c r="L25" s="19"/>
    </row>
    <row r="26" spans="1:12" ht="19.5" customHeight="1" x14ac:dyDescent="0.25">
      <c r="J26" s="6" t="s">
        <v>14</v>
      </c>
      <c r="K26" s="5">
        <v>12</v>
      </c>
    </row>
    <row r="27" spans="1:12" ht="18.75" customHeight="1" x14ac:dyDescent="0.3">
      <c r="C27" s="34" t="s">
        <v>7</v>
      </c>
      <c r="D27" s="19"/>
      <c r="E27" s="19"/>
      <c r="F27" s="19"/>
      <c r="G27" s="19"/>
      <c r="H27" s="19"/>
      <c r="I27" s="19"/>
      <c r="J27" s="19"/>
    </row>
    <row r="30" spans="1:12" x14ac:dyDescent="0.25">
      <c r="A30" s="4"/>
      <c r="I30"/>
    </row>
  </sheetData>
  <printOptions horizontalCentered="1"/>
  <pageMargins left="0.7" right="0.7" top="0.75" bottom="0.75" header="0.3" footer="0.3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arre de défilement 1">
              <controlPr defaultSize="0" print="0" autoPict="0" altText="Faites glisser le curseur pour modifier les points de données à représenter sur le graphique Résumé des flux de trésorerie, ou entrez la valeur souhaitée dans la cellule K27.">
                <anchor moveWithCells="1">
                  <from>
                    <xdr:col>2</xdr:col>
                    <xdr:colOff>69850</xdr:colOff>
                    <xdr:row>25</xdr:row>
                    <xdr:rowOff>69850</xdr:rowOff>
                  </from>
                  <to>
                    <xdr:col>8</xdr:col>
                    <xdr:colOff>393700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5668261-D5CD-49C3-914E-FF5912B4E0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Flux de trésorerie sur 12 moisB</vt:lpstr>
      <vt:lpstr>Résumé des flux de trésorerie</vt:lpstr>
      <vt:lpstr>DécaissementsDébut</vt:lpstr>
      <vt:lpstr>EncaissementsDébut</vt:lpstr>
      <vt:lpstr>ÉtiquettesDonnéesDébut</vt:lpstr>
      <vt:lpstr>ExerciceComptable</vt:lpstr>
      <vt:lpstr>'Flux de trésorerie sur 12 moisB'!Impression_des_titres</vt:lpstr>
      <vt:lpstr>SituationTrésorerieDébut</vt:lpstr>
      <vt:lpstr>TotalPointsDonnées</vt:lpstr>
      <vt:lpstr>'Résumé des flux de trésorerie'!Zone_d_impression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christian.baumann</dc:creator>
  <cp:keywords/>
  <cp:lastModifiedBy>Sandrine et Jérôme</cp:lastModifiedBy>
  <cp:lastPrinted>2016-11-01T16:18:00Z</cp:lastPrinted>
  <dcterms:created xsi:type="dcterms:W3CDTF">2016-09-06T12:50:45Z</dcterms:created>
  <dcterms:modified xsi:type="dcterms:W3CDTF">2018-04-11T06:36:56Z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TC034580729991</vt:lpwstr>
  </property>
</Properties>
</file>